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C:\Users\Taha\Desktop\"/>
    </mc:Choice>
  </mc:AlternateContent>
  <xr:revisionPtr revIDLastSave="0" documentId="8_{F376E820-D5A0-4EFF-AD19-B6EBB19EDDEE}" xr6:coauthVersionLast="47" xr6:coauthVersionMax="47" xr10:uidLastSave="{00000000-0000-0000-0000-000000000000}"/>
  <bookViews>
    <workbookView xWindow="-120" yWindow="-120" windowWidth="29040" windowHeight="15720" xr2:uid="{E128DE63-9520-41D7-B7C4-3D36F0BA739E}"/>
  </bookViews>
  <sheets>
    <sheet name="Hesap" sheetId="2" r:id="rId1"/>
    <sheet name="Tablolar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G19" i="3"/>
  <c r="G17" i="3" s="1"/>
  <c r="H2" i="3"/>
  <c r="I11" i="2"/>
  <c r="J14" i="2" s="1"/>
  <c r="L13" i="2" l="1" a="1"/>
  <c r="L13" i="2" s="1"/>
  <c r="K13" i="2" a="1"/>
  <c r="K13" i="2" s="1"/>
  <c r="M13" i="2" a="1"/>
  <c r="M13" i="2" s="1"/>
  <c r="G6" i="3"/>
  <c r="G10" i="3"/>
  <c r="G14" i="3"/>
  <c r="G18" i="3"/>
  <c r="G3" i="3"/>
  <c r="G7" i="3"/>
  <c r="G11" i="3"/>
  <c r="G15" i="3"/>
  <c r="G4" i="3"/>
  <c r="G8" i="3"/>
  <c r="G12" i="3"/>
  <c r="G16" i="3"/>
  <c r="H16" i="3" s="1"/>
  <c r="G5" i="3"/>
  <c r="G9" i="3"/>
  <c r="G13" i="3"/>
  <c r="H18" i="3"/>
  <c r="H17" i="3"/>
  <c r="H19" i="3"/>
  <c r="M10" i="2" a="1"/>
  <c r="M10" i="2" s="1"/>
  <c r="L10" i="2" a="1"/>
  <c r="L10" i="2" s="1"/>
  <c r="K10" i="2" a="1"/>
  <c r="K10" i="2" s="1"/>
  <c r="J17" i="2"/>
  <c r="J16" i="2"/>
  <c r="K14" i="2"/>
  <c r="J13" i="2" a="1"/>
  <c r="J13" i="2" s="1"/>
  <c r="H15" i="3" l="1"/>
  <c r="H14" i="3" l="1"/>
  <c r="H13" i="3" l="1"/>
  <c r="H12" i="3" l="1"/>
  <c r="H11" i="3" l="1"/>
  <c r="H10" i="3" l="1"/>
  <c r="H9" i="3" l="1"/>
  <c r="H8" i="3" l="1"/>
  <c r="H7" i="3" l="1"/>
  <c r="H6" i="3" l="1"/>
  <c r="H5" i="3" l="1"/>
  <c r="H3" i="3" l="1"/>
  <c r="H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<sst xmlns="http://schemas.openxmlformats.org/spreadsheetml/2006/main" count="63" uniqueCount="62">
  <si>
    <r>
      <t>H</t>
    </r>
    <r>
      <rPr>
        <b/>
        <vertAlign val="subscript"/>
        <sz val="12"/>
        <color theme="1"/>
        <rFont val="Montserrat"/>
        <charset val="162"/>
      </rPr>
      <t>b</t>
    </r>
    <r>
      <rPr>
        <b/>
        <sz val="12"/>
        <color theme="1"/>
        <rFont val="Montserrat"/>
        <charset val="162"/>
      </rPr>
      <t>:</t>
    </r>
  </si>
  <si>
    <t>Bodrum perdesinin toplam yüksekliği (m)</t>
  </si>
  <si>
    <r>
      <t>H</t>
    </r>
    <r>
      <rPr>
        <b/>
        <vertAlign val="subscript"/>
        <sz val="12"/>
        <color theme="1"/>
        <rFont val="Montserrat"/>
        <charset val="162"/>
      </rPr>
      <t>w</t>
    </r>
    <r>
      <rPr>
        <b/>
        <sz val="12"/>
        <color theme="1"/>
        <rFont val="Montserrat"/>
        <charset val="162"/>
      </rPr>
      <t>:</t>
    </r>
  </si>
  <si>
    <t>Yeraltı suyu yüksekliği (m)</t>
  </si>
  <si>
    <t>γ:</t>
  </si>
  <si>
    <r>
      <t>Zeminin tabii birim hacim ağırlığı (kN/m</t>
    </r>
    <r>
      <rPr>
        <i/>
        <vertAlign val="superscript"/>
        <sz val="12"/>
        <color theme="1"/>
        <rFont val="Montserrat"/>
        <charset val="162"/>
      </rPr>
      <t>3</t>
    </r>
    <r>
      <rPr>
        <i/>
        <sz val="12"/>
        <color theme="1"/>
        <rFont val="Montserrat"/>
        <charset val="162"/>
      </rPr>
      <t>)</t>
    </r>
  </si>
  <si>
    <r>
      <t>γ</t>
    </r>
    <r>
      <rPr>
        <b/>
        <vertAlign val="subscript"/>
        <sz val="12"/>
        <color theme="1"/>
        <rFont val="Montserrat"/>
        <charset val="162"/>
      </rPr>
      <t>d</t>
    </r>
    <r>
      <rPr>
        <b/>
        <sz val="12"/>
        <color theme="1"/>
        <rFont val="Montserrat"/>
        <charset val="162"/>
      </rPr>
      <t>:</t>
    </r>
  </si>
  <si>
    <r>
      <t>Suya doygun zeminin birim hacim ağırlığı (kN/m</t>
    </r>
    <r>
      <rPr>
        <i/>
        <vertAlign val="superscript"/>
        <sz val="12"/>
        <color theme="1"/>
        <rFont val="Montserrat"/>
        <charset val="162"/>
      </rPr>
      <t>3</t>
    </r>
    <r>
      <rPr>
        <i/>
        <sz val="12"/>
        <color theme="1"/>
        <rFont val="Montserrat"/>
        <charset val="162"/>
      </rPr>
      <t>)</t>
    </r>
  </si>
  <si>
    <r>
      <t>γ</t>
    </r>
    <r>
      <rPr>
        <b/>
        <vertAlign val="subscript"/>
        <sz val="12"/>
        <color theme="1"/>
        <rFont val="Montserrat"/>
        <charset val="162"/>
      </rPr>
      <t>w</t>
    </r>
    <r>
      <rPr>
        <b/>
        <sz val="12"/>
        <color theme="1"/>
        <rFont val="Montserrat"/>
        <charset val="162"/>
      </rPr>
      <t>:</t>
    </r>
  </si>
  <si>
    <r>
      <t>Suyun birim hacim ağırlığı (kN/m</t>
    </r>
    <r>
      <rPr>
        <i/>
        <vertAlign val="superscript"/>
        <sz val="12"/>
        <color theme="1"/>
        <rFont val="Montserrat"/>
        <charset val="162"/>
      </rPr>
      <t>3</t>
    </r>
    <r>
      <rPr>
        <i/>
        <sz val="12"/>
        <color theme="1"/>
        <rFont val="Montserrat"/>
        <charset val="162"/>
      </rPr>
      <t>)</t>
    </r>
  </si>
  <si>
    <t>q:</t>
  </si>
  <si>
    <t>Ek yük - Sürşarj Yükü (kN/m)</t>
  </si>
  <si>
    <r>
      <t>S</t>
    </r>
    <r>
      <rPr>
        <b/>
        <vertAlign val="subscript"/>
        <sz val="12"/>
        <color theme="1"/>
        <rFont val="Montserrat"/>
        <charset val="162"/>
      </rPr>
      <t>ds</t>
    </r>
    <r>
      <rPr>
        <b/>
        <sz val="12"/>
        <color theme="1"/>
        <rFont val="Montserrat"/>
        <charset val="162"/>
      </rPr>
      <t>:</t>
    </r>
  </si>
  <si>
    <t>Kısa periyot tasarım spektral ivme katsayısı (boyutsuz)</t>
  </si>
  <si>
    <t>Zemin</t>
  </si>
  <si>
    <t>Yumuşak – orta katı kohezyonlu zemin</t>
  </si>
  <si>
    <t>YAS</t>
  </si>
  <si>
    <r>
      <t>H</t>
    </r>
    <r>
      <rPr>
        <b/>
        <vertAlign val="subscript"/>
        <sz val="12"/>
        <color theme="1"/>
        <rFont val="Montserrat"/>
        <charset val="162"/>
      </rPr>
      <t>s</t>
    </r>
    <r>
      <rPr>
        <b/>
        <sz val="12"/>
        <color theme="1"/>
        <rFont val="Montserrat"/>
        <charset val="162"/>
      </rPr>
      <t>:</t>
    </r>
  </si>
  <si>
    <r>
      <t>Statik zemin basıncı (p - kN/m</t>
    </r>
    <r>
      <rPr>
        <i/>
        <vertAlign val="superscript"/>
        <sz val="12"/>
        <color theme="1"/>
        <rFont val="Montserrat"/>
        <charset val="162"/>
      </rPr>
      <t>2</t>
    </r>
    <r>
      <rPr>
        <i/>
        <sz val="12"/>
        <color theme="1"/>
        <rFont val="Montserrat"/>
        <charset val="162"/>
      </rPr>
      <t>)</t>
    </r>
  </si>
  <si>
    <r>
      <t>H</t>
    </r>
    <r>
      <rPr>
        <b/>
        <vertAlign val="subscript"/>
        <sz val="12"/>
        <color theme="1"/>
        <rFont val="Montserrat"/>
        <charset val="162"/>
      </rPr>
      <t>d</t>
    </r>
    <r>
      <rPr>
        <b/>
        <sz val="12"/>
        <color theme="1"/>
        <rFont val="Montserrat"/>
        <charset val="162"/>
      </rPr>
      <t>:</t>
    </r>
  </si>
  <si>
    <r>
      <t>Depremli ek zemin basıncı (∆p - kN/m</t>
    </r>
    <r>
      <rPr>
        <i/>
        <vertAlign val="superscript"/>
        <sz val="12"/>
        <color theme="1"/>
        <rFont val="Montserrat"/>
        <charset val="162"/>
      </rPr>
      <t>2</t>
    </r>
    <r>
      <rPr>
        <i/>
        <sz val="12"/>
        <color theme="1"/>
        <rFont val="Montserrat"/>
        <charset val="162"/>
      </rPr>
      <t>)</t>
    </r>
  </si>
  <si>
    <r>
      <t>H</t>
    </r>
    <r>
      <rPr>
        <b/>
        <vertAlign val="subscript"/>
        <sz val="12"/>
        <color theme="1"/>
        <rFont val="Montserrat"/>
        <charset val="162"/>
      </rPr>
      <t>sw</t>
    </r>
    <r>
      <rPr>
        <b/>
        <sz val="12"/>
        <color theme="1"/>
        <rFont val="Montserrat"/>
        <charset val="162"/>
      </rPr>
      <t>:</t>
    </r>
  </si>
  <si>
    <r>
      <t>Statik yeraltı suyu basıncı (p</t>
    </r>
    <r>
      <rPr>
        <i/>
        <vertAlign val="subscript"/>
        <sz val="12"/>
        <color theme="1"/>
        <rFont val="Montserrat"/>
        <charset val="162"/>
      </rPr>
      <t>w</t>
    </r>
    <r>
      <rPr>
        <i/>
        <sz val="12"/>
        <color theme="1"/>
        <rFont val="Montserrat"/>
        <charset val="162"/>
      </rPr>
      <t>- kN/m</t>
    </r>
    <r>
      <rPr>
        <i/>
        <vertAlign val="superscript"/>
        <sz val="12"/>
        <color theme="1"/>
        <rFont val="Montserrat"/>
        <charset val="162"/>
      </rPr>
      <t>2</t>
    </r>
    <r>
      <rPr>
        <i/>
        <sz val="12"/>
        <color theme="1"/>
        <rFont val="Montserrat"/>
        <charset val="162"/>
      </rPr>
      <t>)</t>
    </r>
  </si>
  <si>
    <r>
      <t>H</t>
    </r>
    <r>
      <rPr>
        <b/>
        <vertAlign val="subscript"/>
        <sz val="12"/>
        <color theme="1"/>
        <rFont val="Montserrat"/>
        <charset val="162"/>
      </rPr>
      <t>dw</t>
    </r>
    <r>
      <rPr>
        <b/>
        <sz val="12"/>
        <color theme="1"/>
        <rFont val="Montserrat"/>
        <charset val="162"/>
      </rPr>
      <t>:</t>
    </r>
  </si>
  <si>
    <r>
      <t>Depremli ek yeraltı suyu basıncı (∆p</t>
    </r>
    <r>
      <rPr>
        <i/>
        <vertAlign val="subscript"/>
        <sz val="12"/>
        <color theme="1"/>
        <rFont val="Montserrat"/>
        <charset val="162"/>
      </rPr>
      <t>w</t>
    </r>
    <r>
      <rPr>
        <i/>
        <sz val="12"/>
        <color theme="1"/>
        <rFont val="Montserrat"/>
        <charset val="162"/>
      </rPr>
      <t>- kN/m</t>
    </r>
    <r>
      <rPr>
        <i/>
        <vertAlign val="superscript"/>
        <sz val="12"/>
        <color theme="1"/>
        <rFont val="Montserrat"/>
        <charset val="162"/>
      </rPr>
      <t>2)</t>
    </r>
  </si>
  <si>
    <t>Not: Zemin basınçları düzgün yayılı yük olarak, yeraltı suyu basınçları trapez yük olarak girilecektir.</t>
  </si>
  <si>
    <t>#</t>
  </si>
  <si>
    <t>z</t>
  </si>
  <si>
    <r>
      <t>H</t>
    </r>
    <r>
      <rPr>
        <b/>
        <vertAlign val="subscript"/>
        <sz val="11"/>
        <color theme="1"/>
        <rFont val="Times New Roman"/>
        <family val="1"/>
        <charset val="162"/>
      </rPr>
      <t>dw</t>
    </r>
  </si>
  <si>
    <t>Zemin Durumu</t>
  </si>
  <si>
    <t>Kombinasyonlar</t>
  </si>
  <si>
    <t>Zemin Türleri</t>
  </si>
  <si>
    <r>
      <t>Zeminin Doğal Birim Hacim Ağırlığı - γ (kN/m</t>
    </r>
    <r>
      <rPr>
        <b/>
        <vertAlign val="superscript"/>
        <sz val="11"/>
        <color theme="1"/>
        <rFont val="Times New Roman"/>
        <family val="1"/>
        <charset val="162"/>
      </rPr>
      <t>3</t>
    </r>
    <r>
      <rPr>
        <b/>
        <sz val="11"/>
        <color theme="1"/>
        <rFont val="Times New Roman"/>
        <family val="1"/>
        <charset val="162"/>
      </rPr>
      <t>)</t>
    </r>
  </si>
  <si>
    <t>Kohezyonsuz zemin</t>
  </si>
  <si>
    <t>1.4G + 1.6Q + 1.6Hs</t>
  </si>
  <si>
    <t>0.9G' + Hd + Ex - 0.3Ey</t>
  </si>
  <si>
    <t>Bitkisel toprak (Doğal durumda)</t>
  </si>
  <si>
    <t>Katı – sert kohezyonlu zemin</t>
  </si>
  <si>
    <t>0.9G' + Hd + Ex + 0.3Ey</t>
  </si>
  <si>
    <t>Kum ve çakıl (Doğal nemde)</t>
  </si>
  <si>
    <t>0.9G' + Hd - Ex - 0.3Ey</t>
  </si>
  <si>
    <t>Kum ve çakıl (Doygun durumda)</t>
  </si>
  <si>
    <t>0.9G' + Hd - Ex + 0.3Ey</t>
  </si>
  <si>
    <t>Kaya parçaları (Yuvarlak, köşeli)</t>
  </si>
  <si>
    <t>Yeraltı Suyu Durumu</t>
  </si>
  <si>
    <t>0.9G' + Hd + Ey - 0.3Ex</t>
  </si>
  <si>
    <t>Taş dolgu (Keskin köşeli, ocak malzemesi)</t>
  </si>
  <si>
    <t>Yeraltı suyu var</t>
  </si>
  <si>
    <t>0.9G' + Hd + Ey + 0.3Ex</t>
  </si>
  <si>
    <t>Kil ve silt (Doygun durumda)</t>
  </si>
  <si>
    <t>Yeraltı suyu yok</t>
  </si>
  <si>
    <t>0.9G' + Hd - Ey - 0.3Ex</t>
  </si>
  <si>
    <t>Tablo 12.1., Betonarme Yapılar, Prof. Dr. Zekai Celep</t>
  </si>
  <si>
    <t>0.9G' + Hd - Ey + 0.3Ex</t>
  </si>
  <si>
    <t>G' + Q' + Hd + Ex - 0.3Ey</t>
  </si>
  <si>
    <t>G' + Q' + Hd + Ex + 0.3Ey</t>
  </si>
  <si>
    <t>G' + Q' + Hd - Ex - 0.3Ey</t>
  </si>
  <si>
    <t>G' + Q' + Hd - Ex + 0.3Ey</t>
  </si>
  <si>
    <t>G' + Q' + Hd + Ey - 0.3Ex</t>
  </si>
  <si>
    <t>G' + Q' + Hd + Ey + 0.3Ex</t>
  </si>
  <si>
    <t>G' + Q' + Hd - Ey - 0.3Ex</t>
  </si>
  <si>
    <t>G' + Q' + Hd - Ey + 0.3Ex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</si>
</sst>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>
    <font>
      <sz val="11"/>
      <color theme="1"/>
      <name val="Calibri"/>
      <family val="2"/>
      <charset val="162"/>
      <scheme val="minor"/>
    </font>
    <font>
      <b/>
      <sz val="12"/>
      <color theme="1"/>
      <name val="Montserrat"/>
      <charset val="162"/>
    </font>
    <font>
      <b/>
      <vertAlign val="subscript"/>
      <sz val="12"/>
      <color theme="1"/>
      <name val="Montserrat"/>
      <charset val="162"/>
    </font>
    <font>
      <i/>
      <sz val="12"/>
      <color theme="1"/>
      <name val="Montserrat"/>
      <charset val="162"/>
    </font>
    <font>
      <b/>
      <sz val="12"/>
      <name val="Montserrat"/>
      <charset val="162"/>
    </font>
    <font>
      <sz val="12"/>
      <color theme="1"/>
      <name val="Montserrat"/>
      <charset val="162"/>
    </font>
    <font>
      <i/>
      <vertAlign val="superscript"/>
      <sz val="12"/>
      <color theme="1"/>
      <name val="Montserrat"/>
      <charset val="162"/>
    </font>
    <font>
      <i/>
      <vertAlign val="subscript"/>
      <sz val="12"/>
      <color theme="1"/>
      <name val="Montserrat"/>
      <charset val="162"/>
    </font>
    <font>
      <sz val="12"/>
      <color rgb="FFF3F3F3"/>
      <name val="Montserrat"/>
      <charset val="162"/>
    </font>
    <font>
      <i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vertAlign val="subscript"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3F3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3" fillId="3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5" fillId="5" borderId="0" xfId="0" applyFont="1" applyFill="1"/>
    <xf numFmtId="164" fontId="4" fillId="4" borderId="1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0" fontId="3" fillId="3" borderId="1" xfId="0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hidden="1"/>
    </xf>
    <xf numFmtId="0" fontId="8" fillId="5" borderId="0" xfId="0" applyFont="1" applyFill="1"/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hidden="1"/>
    </xf>
    <xf numFmtId="165" fontId="10" fillId="0" borderId="1" xfId="0" applyNumberFormat="1" applyFont="1" applyBorder="1" applyAlignment="1" applyProtection="1">
      <alignment vertical="center"/>
      <protection hidden="1"/>
    </xf>
    <xf numFmtId="2" fontId="10" fillId="0" borderId="1" xfId="0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2" fontId="5" fillId="5" borderId="0" xfId="0" applyNumberFormat="1" applyFont="1" applyFill="1"/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49" fontId="3" fillId="3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</cellXfs>
  <cellStyles count="1">
    <cellStyle name="Normal" xfId="0" builtinId="0"/>
  </cellStyles>
  <dxfs count="7">
    <dxf>
      <fill>
        <patternFill patternType="light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/>
      </font>
      <fill>
        <patternFill patternType="solid"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/>
      </font>
      <fill>
        <patternFill patternType="solid"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/>
      </font>
      <fill>
        <patternFill patternType="solid"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/>
      </font>
      <fill>
        <patternFill patternType="solid"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/>
      </font>
      <fill>
        <patternFill patternType="solid"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F3F3"/>
      <color rgb="FFF7FFFF"/>
      <color rgb="FFFFF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r-TR"/>
              <a:t>Statik yeraltı suyu basıncı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(Hesap!$K$16,Hesap!$J$3)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cat>
          <c:val>
            <c:numRef>
              <c:f>(Hesap!$K$16,Hesap!$J$16)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49.050000000000004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E-4C0D-A8B4-5CA5B03190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68224127"/>
        <c:axId val="1568218847"/>
      </c:areaChart>
      <c:catAx>
        <c:axId val="1568224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218847"/>
        <c:crosses val="autoZero"/>
        <c:auto val="1"/>
        <c:lblAlgn val="ctr"/>
        <c:lblOffset val="100"/>
        <c:noMultiLvlLbl val="0"/>
      </c:catAx>
      <c:valAx>
        <c:axId val="156821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224127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r-TR"/>
              <a:t>Dinamik</a:t>
            </a:r>
            <a:r>
              <a:rPr lang="tr-TR" baseline="0"/>
              <a:t> ek</a:t>
            </a:r>
            <a:r>
              <a:rPr lang="tr-TR"/>
              <a:t> yeraltı suyu basıncı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Tablolar!$G$2:$G$19</c:f>
              <c:numCache>
                <c:formatCode>0.0</c:formatCode>
                <c:ptCount val="18"/>
                <c:pt idx="0">
                  <c:v>0</c:v>
                </c:pt>
                <c:pt idx="1">
                  <c:v>0.29411764705882337</c:v>
                </c:pt>
                <c:pt idx="2">
                  <c:v>0.58823529411764675</c:v>
                </c:pt>
                <c:pt idx="3">
                  <c:v>0.88235294117647012</c:v>
                </c:pt>
                <c:pt idx="4">
                  <c:v>1.1764705882352939</c:v>
                </c:pt>
                <c:pt idx="5">
                  <c:v>1.4705882352941178</c:v>
                </c:pt>
                <c:pt idx="6">
                  <c:v>1.7647058823529411</c:v>
                </c:pt>
                <c:pt idx="7">
                  <c:v>2.0588235294117645</c:v>
                </c:pt>
                <c:pt idx="8">
                  <c:v>2.3529411764705883</c:v>
                </c:pt>
                <c:pt idx="9">
                  <c:v>2.6470588235294117</c:v>
                </c:pt>
                <c:pt idx="10">
                  <c:v>2.9411764705882351</c:v>
                </c:pt>
                <c:pt idx="11">
                  <c:v>3.2352941176470589</c:v>
                </c:pt>
                <c:pt idx="12">
                  <c:v>3.5294117647058822</c:v>
                </c:pt>
                <c:pt idx="13">
                  <c:v>3.8235294117647056</c:v>
                </c:pt>
                <c:pt idx="14">
                  <c:v>4.117647058823529</c:v>
                </c:pt>
                <c:pt idx="15">
                  <c:v>4.4117647058823533</c:v>
                </c:pt>
                <c:pt idx="16">
                  <c:v>4.7058823529411766</c:v>
                </c:pt>
                <c:pt idx="17">
                  <c:v>5</c:v>
                </c:pt>
              </c:numCache>
            </c:numRef>
          </c:cat>
          <c:val>
            <c:numRef>
              <c:f>Tablolar!$H$2:$H$19</c:f>
              <c:numCache>
                <c:formatCode>0.00</c:formatCode>
                <c:ptCount val="18"/>
                <c:pt idx="0">
                  <c:v>0</c:v>
                </c:pt>
                <c:pt idx="1">
                  <c:v>2.015245485920643</c:v>
                </c:pt>
                <c:pt idx="2">
                  <c:v>2.8499874977001318</c:v>
                </c:pt>
                <c:pt idx="3">
                  <c:v>3.4905075713383846</c:v>
                </c:pt>
                <c:pt idx="4">
                  <c:v>4.0304909718412869</c:v>
                </c:pt>
                <c:pt idx="5">
                  <c:v>4.5062258978681546</c:v>
                </c:pt>
                <c:pt idx="6">
                  <c:v>4.9363231469527182</c:v>
                </c:pt>
                <c:pt idx="7">
                  <c:v>5.3318383864915404</c:v>
                </c:pt>
                <c:pt idx="8">
                  <c:v>5.6999749954002645</c:v>
                </c:pt>
                <c:pt idx="9">
                  <c:v>6.0457364577619304</c:v>
                </c:pt>
                <c:pt idx="10">
                  <c:v>6.3727657798820214</c:v>
                </c:pt>
                <c:pt idx="11">
                  <c:v>6.6838131372562204</c:v>
                </c:pt>
                <c:pt idx="12">
                  <c:v>6.981015142676771</c:v>
                </c:pt>
                <c:pt idx="13">
                  <c:v>7.2660709321342241</c:v>
                </c:pt>
                <c:pt idx="14">
                  <c:v>7.540358158557817</c:v>
                </c:pt>
                <c:pt idx="15">
                  <c:v>7.8050122054903266</c:v>
                </c:pt>
                <c:pt idx="16">
                  <c:v>8.0609819436825756</c:v>
                </c:pt>
                <c:pt idx="17">
                  <c:v>8.309070000000002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8-4573-B668-B27B6BB1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224127"/>
        <c:axId val="1568218847"/>
      </c:areaChart>
      <c:catAx>
        <c:axId val="1568224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218847"/>
        <c:crosses val="autoZero"/>
        <c:auto val="1"/>
        <c:lblAlgn val="ctr"/>
        <c:lblOffset val="100"/>
        <c:noMultiLvlLbl val="0"/>
      </c:catAx>
      <c:valAx>
        <c:axId val="156821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224127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149086</xdr:colOff>
      <xdr:row>9</xdr:row>
      <xdr:rowOff>242394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5238DB9-5321-97EB-5732-832D1357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06686" cy="3071319"/>
        </a:xfrm>
        <a:prstGeom prst="rect">
          <a:avLst/>
        </a:prstGeom>
        <a:effectLst>
          <a:outerShdw blurRad="139700" dist="38100" dir="2700000" algn="tl" rotWithShape="0">
            <a:prstClr val="black">
              <a:alpha val="31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9</xdr:row>
      <xdr:rowOff>250139</xdr:rowOff>
    </xdr:from>
    <xdr:to>
      <xdr:col>6</xdr:col>
      <xdr:colOff>146956</xdr:colOff>
      <xdr:row>14</xdr:row>
      <xdr:rowOff>212207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9DEE4CD-9EE8-43C9-AC2C-687153072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79064"/>
          <a:ext cx="3804556" cy="1533693"/>
        </a:xfrm>
        <a:prstGeom prst="rect">
          <a:avLst/>
        </a:prstGeom>
        <a:effectLst>
          <a:outerShdw blurRad="139700" dist="38100" dir="2700000" algn="tl" rotWithShape="0">
            <a:prstClr val="black">
              <a:alpha val="31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14</xdr:row>
      <xdr:rowOff>195057</xdr:rowOff>
    </xdr:from>
    <xdr:to>
      <xdr:col>6</xdr:col>
      <xdr:colOff>145680</xdr:colOff>
      <xdr:row>22</xdr:row>
      <xdr:rowOff>8164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6CAF7500-9F86-F890-580E-C5F099B57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595607"/>
          <a:ext cx="3803280" cy="2327707"/>
        </a:xfrm>
        <a:prstGeom prst="rect">
          <a:avLst/>
        </a:prstGeom>
        <a:effectLst>
          <a:outerShdw blurRad="139700" dist="38100" dir="2700000" algn="tl" rotWithShape="0">
            <a:prstClr val="black">
              <a:alpha val="31000"/>
            </a:prstClr>
          </a:outerShdw>
        </a:effectLst>
      </xdr:spPr>
    </xdr:pic>
    <xdr:clientData/>
  </xdr:twoCellAnchor>
  <xdr:twoCellAnchor>
    <xdr:from>
      <xdr:col>6</xdr:col>
      <xdr:colOff>371475</xdr:colOff>
      <xdr:row>20</xdr:row>
      <xdr:rowOff>95250</xdr:rowOff>
    </xdr:from>
    <xdr:to>
      <xdr:col>8</xdr:col>
      <xdr:colOff>3114675</xdr:colOff>
      <xdr:row>27</xdr:row>
      <xdr:rowOff>95250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95DBA300-CBCE-1594-DC29-1478B07BD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3161568</xdr:colOff>
      <xdr:row>20</xdr:row>
      <xdr:rowOff>102577</xdr:rowOff>
    </xdr:from>
    <xdr:to>
      <xdr:col>11</xdr:col>
      <xdr:colOff>504093</xdr:colOff>
      <xdr:row>27</xdr:row>
      <xdr:rowOff>102577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58E1C97D-85D3-4C34-8702-E63A50B0C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6DC9-A0B4-478F-B9F9-7A9B201026B3}">
  <sheetPr codeName="Sayfa2"/>
  <dimension ref="H2:M20"/>
  <sheetViews>
    <sheetView tabSelected="1" zoomScaleNormal="100" workbookViewId="0">
      <selection activeCell="J3" sqref="J3"/>
    </sheetView>
  </sheetViews>
  <sheetFormatPr defaultRowHeight="24.95" customHeight="1"/>
  <cols>
    <col min="1" max="6" width="9.140625" style="3"/>
    <col min="7" max="7" width="5.7109375" style="3" customWidth="1"/>
    <col min="8" max="8" width="9" style="3" bestFit="1" customWidth="1"/>
    <col min="9" max="9" width="67" style="3" bestFit="1" customWidth="1"/>
    <col min="10" max="10" width="10" style="3" customWidth="1"/>
    <col min="11" max="13" width="18.7109375" style="3" customWidth="1"/>
    <col min="14" max="16384" width="9.140625" style="3"/>
  </cols>
  <sheetData>
    <row r="2" spans="8:13" ht="24.95" customHeight="1">
      <c r="H2" s="5" t="s">
        <v>0</v>
      </c>
      <c r="I2" s="1" t="s">
        <v>1</v>
      </c>
      <c r="J2" s="2">
        <v>10</v>
      </c>
    </row>
    <row r="3" spans="8:13" ht="24.95" customHeight="1">
      <c r="H3" s="5" t="s">
        <v>2</v>
      </c>
      <c r="I3" s="1" t="s">
        <v>3</v>
      </c>
      <c r="J3" s="2">
        <v>5</v>
      </c>
    </row>
    <row r="4" spans="8:13" ht="24.95" customHeight="1">
      <c r="H4" s="5" t="s">
        <v>4</v>
      </c>
      <c r="I4" s="1" t="s">
        <v>5</v>
      </c>
      <c r="J4" s="2">
        <v>18</v>
      </c>
    </row>
    <row r="5" spans="8:13" ht="24.95" customHeight="1">
      <c r="H5" s="5" t="s">
        <v>6</v>
      </c>
      <c r="I5" s="1" t="s">
        <v>7</v>
      </c>
      <c r="J5" s="2">
        <v>25</v>
      </c>
    </row>
    <row r="6" spans="8:13" ht="24.95" customHeight="1">
      <c r="H6" s="5" t="s">
        <v>8</v>
      </c>
      <c r="I6" s="1" t="s">
        <v>9</v>
      </c>
      <c r="J6" s="2">
        <v>9.81</v>
      </c>
    </row>
    <row r="7" spans="8:13" ht="24.95" customHeight="1">
      <c r="H7" s="5" t="s">
        <v>10</v>
      </c>
      <c r="I7" s="1" t="s">
        <v>11</v>
      </c>
      <c r="J7" s="2">
        <v>10</v>
      </c>
    </row>
    <row r="8" spans="8:13" ht="24.95" customHeight="1">
      <c r="H8" s="5" t="s">
        <v>12</v>
      </c>
      <c r="I8" s="1" t="s">
        <v>13</v>
      </c>
      <c r="J8" s="4">
        <v>0.48399999999999999</v>
      </c>
    </row>
    <row r="10" spans="8:13" ht="24.95" customHeight="1">
      <c r="H10" s="5" t="s">
        <v>14</v>
      </c>
      <c r="I10" s="1" t="s">
        <v>15</v>
      </c>
      <c r="K10" s="23" t="str" cm="1">
        <f t="array" ref="K10">_xlfn.IFS(
AND(I10=Tablolar!A5,I11=Tablolar!A9),"Yeraltı suyu bulunmayan ilk "&amp;J2-J3&amp;" metrede",
AND(I10=Tablolar!A3,I11=Tablolar!A9),"Yeraltı suyu bulunmayan ilk "&amp;J2-J3&amp;" metrede",
AND(I10=Tablolar!A4,I11=Tablolar!A10),"İlk "&amp;J2*0.2&amp;" metrede",
AND(I10=Tablolar!A4,I11=Tablolar!A9,0.2*J2&gt;J2-J3),"Yeraltı suyu bulunmayan ilk "&amp;J2-J3&amp;" metrede (%20)",
AND(I10=Tablolar!A4,I11=Tablolar!A9,0.2*J2&lt;J2-J3),"Yeraltı suyu bulunmayan ilk "&amp;0.2*J2&amp;" metrede (%20)",
AND(I10=Tablolar!A4,I11=Tablolar!A9,0.2*J2=J2-J3),"Yeraltı suyu bulunmayan ilk "&amp;0.2*J2&amp;" metrede (%20)",
1,"")</f>
        <v>Yeraltı suyu bulunmayan ilk 2 metrede (%20)</v>
      </c>
      <c r="L10" s="23" t="str" cm="1">
        <f t="array" ref="L10">_xlfn.IFS(
AND(I10=Tablolar!A5,I11=Tablolar!A9),"Yeraltı suyu bulunan son "&amp;J3&amp;" metrede",
AND(I10=Tablolar!A3,I11=Tablolar!A9),"Yeraltı suyu bulunan son "&amp;J3&amp;" metrede",
AND(I10=Tablolar!A4,I11=Tablolar!A10),"Son "&amp;J2*0.8&amp;" metrede",
AND(I10=Tablolar!A4,I11=Tablolar!A9,0.2*J2&gt;J2-J3),"Yeraltı suyu bulunan "&amp;J2-J3&amp;"-"&amp;J2*0.2&amp;" metrede (%20)",
AND(I10=Tablolar!A4,I11=Tablolar!A9,0.2*J2&lt;J2-J3),"Yeraltı suyu bulunan "&amp;0.2*J2&amp;"-"&amp;J2-J3&amp;" metrede (%80)",
AND(I10=Tablolar!A4,I11=Tablolar!A9,0.2*J2=J2-J3),"Yeraltı suyu bulunan son "&amp;J3&amp;" metrede (%80)",
1,"")</f>
        <v>Yeraltı suyu bulunan 2-5 metrede (%80)</v>
      </c>
      <c r="M10" s="23" t="str" cm="1">
        <f t="array" ref="M10">_xlfn.IFS(
AND(I10=Tablolar!A4,I11=Tablolar!A9,0.2*J2&gt;J2-J3),"Yeraltı suyu bulunan son "&amp;J2*0.8&amp;" metrede (%80)",
AND(I10=Tablolar!A4,I11=Tablolar!A9,0.2*J2&lt;J2-J3),"Yeraltı suyu bulunmayan son "&amp;J3&amp;" metrede (%80)",
AND(I10=Tablolar!A4,I11=Tablolar!A9,0.2*J2=J2-J3),"",
1,"")</f>
        <v>Yeraltı suyu bulunmayan son 5 metrede (%80)</v>
      </c>
    </row>
    <row r="11" spans="8:13" ht="24.95" customHeight="1">
      <c r="H11" s="5" t="s">
        <v>16</v>
      </c>
      <c r="I11" s="6" t="str">
        <f>IF(J3=0,Tablolar!A10,IF(J3&gt;0,Tablolar!A9,"Yeraltı suyu yüksekliğini hatalı girdiniz!"))</f>
        <v>Yeraltı suyu var</v>
      </c>
      <c r="K11" s="23"/>
      <c r="L11" s="23"/>
      <c r="M11" s="23"/>
    </row>
    <row r="12" spans="8:13" ht="24.95" customHeight="1">
      <c r="K12" s="23"/>
      <c r="L12" s="23"/>
      <c r="M12" s="23"/>
    </row>
    <row r="13" spans="8:13" ht="24.95" customHeight="1">
      <c r="H13" s="5" t="s">
        <v>17</v>
      </c>
      <c r="I13" s="1" t="s">
        <v>18</v>
      </c>
      <c r="J13" s="7" t="str" cm="1">
        <f t="array" ref="J13">_xlfn.IFS(
OR(I10=Tablolar!A4,I11=Tablolar!A9),"=&gt;",
I10=Tablolar!A3,0.2*((J4*J2)+J7),
I10=Tablolar!A5,0.3*((J4*J2)+J7))</f>
        <v>=&gt;</v>
      </c>
      <c r="K13" s="7" cm="1">
        <f t="array" ref="K13">_xlfn.IFS(
AND(I10=Tablolar!A3,I11=Tablolar!A10),0.2*((J4*J2)+J7),
AND(I10=Tablolar!A3,I11=Tablolar!A9),0.2*((J4*(J2-J3))+J7),
AND(I10=Tablolar!A4,I11=Tablolar!A10),0.2*((J4*J2)+J7),
AND(I10=Tablolar!A4,I11=Tablolar!A9,0.2*J2&gt;J2-J3),0.2*((J4*(J2-J3))+J7),
AND(I10=Tablolar!A4,I11=Tablolar!A9,0.2*J2&lt;J2-J3),0.2*((J4*(J2-J3))+J7),
AND(I10=Tablolar!A4,I11=Tablolar!A9,0.2*J2=J2-J3),0.2*((J4*(J2-J3))+J7),
AND(I10=Tablolar!A5,I11=Tablolar!A10),0.3*((J4*J2)+J7),
AND(I10=Tablolar!A5,I11=Tablolar!A9),0.3*((J4*(J2-J3))+J7))</f>
        <v>20</v>
      </c>
      <c r="L13" s="7" cm="1">
        <f t="array" ref="L13">_xlfn.IFS(
AND(I10=Tablolar!A3,I11=Tablolar!A10),0.2*(((J5-J6)*J2)+J7),
AND(I10=Tablolar!A3,I11=Tablolar!A9),0.2*(((J5-J6)*J3)+J7),
AND(I10=Tablolar!A4,I11=Tablolar!A10),0.3*((J4*J2)+J7),
AND(I10=Tablolar!A4,I11=Tablolar!A9,0.2*J2&gt;J2-J3),0.2*(((J5-J6)*J3)+J7),
AND(I10=Tablolar!A4,I11=Tablolar!A9,0.2*J2&lt;J2-J3),0.3*((J4*J3)+J7),
AND(I10=Tablolar!A4,I11=Tablolar!A9,0.2*J2=J2-J3),0.2*(((J5-J6)*J3)+J7),
AND(I10=Tablolar!A5,I11=Tablolar!A10),0.3*(((J5-J6)*J2)+J7),
AND(I10=Tablolar!A5,I11=Tablolar!A9),0.3*(((J5-J6)*J3)+J7))</f>
        <v>30</v>
      </c>
      <c r="M13" s="7" cm="1">
        <f t="array" ref="M13">_xlfn.IFS(
AND(I10=Tablolar!A4,I11=Tablolar!A9,0.2*J2&gt;J2-J3),0.3*(((J5-J6)*J3)+J7),
AND(I10=Tablolar!A4,I11=Tablolar!A9,0.2*J2&lt;J2-J3),0.3*(((J5-J6)*J3)+J7),
AND(I10=Tablolar!A4,I11=Tablolar!A9,0.2*J2=J2-J3),"",
1,"")</f>
        <v>25.785</v>
      </c>
    </row>
    <row r="14" spans="8:13" ht="24.95" customHeight="1">
      <c r="H14" s="5" t="s">
        <v>19</v>
      </c>
      <c r="I14" s="1" t="s">
        <v>20</v>
      </c>
      <c r="J14" s="7" t="str">
        <f>IF(I11=Tablolar!A9,"=&gt;",0.4*J8*((J4*J2)+J7))</f>
        <v>=&gt;</v>
      </c>
      <c r="K14" s="7">
        <f>0.4*J8*((J4*J2)+J7)</f>
        <v>36.783999999999999</v>
      </c>
      <c r="L14" s="7">
        <f>0.4*J8*(((J5-J6)*J3)+J7)</f>
        <v>16.63992</v>
      </c>
      <c r="M14" s="7"/>
    </row>
    <row r="16" spans="8:13" ht="24.95" customHeight="1">
      <c r="H16" s="5" t="s">
        <v>21</v>
      </c>
      <c r="I16" s="1" t="s">
        <v>22</v>
      </c>
      <c r="J16" s="7">
        <f>J6*J3</f>
        <v>49.050000000000004</v>
      </c>
      <c r="K16" s="8">
        <v>0</v>
      </c>
      <c r="L16" s="18"/>
    </row>
    <row r="17" spans="8:12" ht="24.95" customHeight="1">
      <c r="H17" s="5" t="s">
        <v>23</v>
      </c>
      <c r="I17" s="1" t="s">
        <v>24</v>
      </c>
      <c r="J17" s="7">
        <f>7/8*0.4*J8*J6*J3</f>
        <v>8.309070000000002</v>
      </c>
      <c r="L17" s="18"/>
    </row>
    <row r="19" spans="8:12" ht="24.95" customHeight="1">
      <c r="H19" s="21" t="s">
        <v>25</v>
      </c>
      <c r="I19" s="22"/>
      <c r="J19" s="22"/>
    </row>
    <row r="20" spans="8:12" ht="24.95" customHeight="1">
      <c r="H20" s="22"/>
      <c r="I20" s="22"/>
      <c r="J20" s="22"/>
    </row>
  </sheetData>
  <sheetProtection algorithmName="SHA-512" hashValue="iHIgY/wXpmCC5Qp/MOVV3cmNvPKUCejoY5XmD8rRNR7Clxk/uc7vpkzB1Df411OUlSB9w1W94ctjAzB01dH+WQ==" saltValue="bs48Jis82tAlYXHk4GONvA==" spinCount="100000" sheet="1" objects="1" scenarios="1"/>
  <mergeCells count="4">
    <mergeCell ref="H19:J20"/>
    <mergeCell ref="K10:K12"/>
    <mergeCell ref="L10:L12"/>
    <mergeCell ref="M10:M12"/>
  </mergeCells>
  <conditionalFormatting sqref="J3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F0B6D66-8087-4C7F-92C6-1DC85C10FF05}">
            <xm:f>IF(AND($I$10=Tablolar!$A$5,$I$11=Tablolar!$A$10),1)</xm:f>
            <x14:dxf>
              <font>
                <color theme="2"/>
              </font>
              <fill>
                <patternFill patternType="solid">
                  <bgColor theme="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5" id="{B03708FF-DE75-424B-8957-801AC2C9ED38}">
            <xm:f>IF(AND($I$10=Tablolar!$A$3,$I$11=Tablolar!$A$10),1)</xm:f>
            <x14:dxf>
              <font>
                <color theme="2"/>
              </font>
              <fill>
                <patternFill patternType="solid">
                  <bgColor theme="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K10:L10 K13:L14</xm:sqref>
        </x14:conditionalFormatting>
        <x14:conditionalFormatting xmlns:xm="http://schemas.microsoft.com/office/excel/2006/main">
          <x14:cfRule type="expression" priority="13" id="{BF9F2198-0396-4E8E-9DD3-C58A59DDE89B}">
            <xm:f>IF($I$11=Tablolar!$A$10,1)</xm:f>
            <x14:dxf>
              <font>
                <color theme="2"/>
              </font>
              <fill>
                <patternFill patternType="solid">
                  <bgColor theme="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K14:M14</xm:sqref>
        </x14:conditionalFormatting>
        <x14:conditionalFormatting xmlns:xm="http://schemas.microsoft.com/office/excel/2006/main">
          <x14:cfRule type="expression" priority="2" id="{BB88A353-4D26-4641-A022-83B51F8DC577}">
            <xm:f>IF(AND($I$10=Tablolar!$A$4,$I$11=Tablolar!$A$10),1)</xm:f>
            <x14:dxf>
              <font>
                <color theme="2"/>
              </font>
              <fill>
                <patternFill patternType="solid">
                  <bgColor theme="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M10 M13</xm:sqref>
        </x14:conditionalFormatting>
        <x14:conditionalFormatting xmlns:xm="http://schemas.microsoft.com/office/excel/2006/main">
          <x14:cfRule type="expression" priority="12" id="{72DD558B-2A21-4F91-A491-15FC79A29792}">
            <xm:f>IF(OR($I$10=Tablolar!$A$3,$I$10=Tablolar!$A$5),1)</xm:f>
            <x14:dxf>
              <font>
                <color theme="2"/>
              </font>
              <fill>
                <patternFill patternType="solid">
                  <bgColor theme="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M13:M14 M10</xm:sqref>
        </x14:conditionalFormatting>
        <x14:conditionalFormatting xmlns:xm="http://schemas.microsoft.com/office/excel/2006/main">
          <x14:cfRule type="expression" priority="3" id="{0FE34F37-E4DB-46C9-8770-C10DF49D8A75}">
            <xm:f>IF(AND($I$10=Tablolar!$A$4,$I$11=Tablolar!$A$9),1)</xm:f>
            <x14:dxf>
              <fill>
                <patternFill patternType="lightUp"/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M14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2C3C65-C8F0-48B5-80A2-8351852BA6CC}">
          <x14:formula1>
            <xm:f>Tablolar!$A$3:$A$5</xm:f>
          </x14:formula1>
          <xm:sqref>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06E4-9E52-4AB5-9336-228C0FF2BC54}">
  <sheetPr codeName="Sayfa3"/>
  <dimension ref="A1:L19"/>
  <sheetViews>
    <sheetView workbookViewId="0">
      <selection activeCell="A3" sqref="A3"/>
    </sheetView>
  </sheetViews>
  <sheetFormatPr defaultRowHeight="18.75" customHeight="1"/>
  <cols>
    <col min="1" max="1" width="35.7109375" style="9" customWidth="1"/>
    <col min="2" max="3" width="9.140625" style="9"/>
    <col min="4" max="4" width="35.7109375" style="9" customWidth="1"/>
    <col min="5" max="10" width="9.140625" style="9"/>
    <col min="11" max="11" width="37.42578125" style="9" bestFit="1" customWidth="1"/>
    <col min="12" max="12" width="27.28515625" style="9" customWidth="1"/>
    <col min="13" max="16384" width="9.140625" style="9"/>
  </cols>
  <sheetData>
    <row r="1" spans="1:12" ht="18.75" customHeight="1">
      <c r="F1" s="16" t="s">
        <v>26</v>
      </c>
      <c r="G1" s="17" t="s">
        <v>27</v>
      </c>
      <c r="H1" s="17" t="s">
        <v>28</v>
      </c>
    </row>
    <row r="2" spans="1:12" ht="18.75" customHeight="1">
      <c r="A2" s="10" t="s">
        <v>29</v>
      </c>
      <c r="D2" s="19" t="s">
        <v>30</v>
      </c>
      <c r="F2" s="11">
        <v>17</v>
      </c>
      <c r="G2" s="12">
        <v>0</v>
      </c>
      <c r="H2" s="13">
        <f>7/8*0.4*Hesap!$J$8*Hesap!$J$6*SQRT(Hesap!$J$3*Tablolar!G2)</f>
        <v>0</v>
      </c>
      <c r="K2" s="24" t="s">
        <v>31</v>
      </c>
      <c r="L2" s="26" t="s">
        <v>32</v>
      </c>
    </row>
    <row r="3" spans="1:12" ht="18.75" customHeight="1">
      <c r="A3" s="11" t="s">
        <v>33</v>
      </c>
      <c r="D3" s="20" t="s">
        <v>34</v>
      </c>
      <c r="F3" s="11">
        <v>16</v>
      </c>
      <c r="G3" s="12">
        <f>IF(Hesap!$J$3=0,0,$G$19-($G$19/17*F3))</f>
        <v>0.29411764705882337</v>
      </c>
      <c r="H3" s="13">
        <f>7/8*0.4*Hesap!$J$8*Hesap!$J$6*SQRT(Hesap!$J$3*Tablolar!G3)</f>
        <v>2.015245485920643</v>
      </c>
      <c r="K3" s="25"/>
      <c r="L3" s="25"/>
    </row>
    <row r="4" spans="1:12" ht="18.75" customHeight="1">
      <c r="A4" s="11" t="s">
        <v>15</v>
      </c>
      <c r="D4" s="20" t="s">
        <v>35</v>
      </c>
      <c r="F4" s="11">
        <v>15</v>
      </c>
      <c r="G4" s="12">
        <f>IF(Hesap!$J$3=0,0,$G$19-($G$19/17*F4))</f>
        <v>0.58823529411764675</v>
      </c>
      <c r="H4" s="13">
        <f>7/8*0.4*Hesap!$J$8*Hesap!$J$6*SQRT(Hesap!$J$3*Tablolar!G4)</f>
        <v>2.8499874977001318</v>
      </c>
      <c r="K4" s="14" t="s">
        <v>36</v>
      </c>
      <c r="L4" s="15">
        <v>17</v>
      </c>
    </row>
    <row r="5" spans="1:12" ht="18.75" customHeight="1">
      <c r="A5" s="11" t="s">
        <v>37</v>
      </c>
      <c r="D5" s="20" t="s">
        <v>38</v>
      </c>
      <c r="F5" s="11">
        <v>14</v>
      </c>
      <c r="G5" s="12">
        <f>IF(Hesap!$J$3=0,0,$G$19-($G$19/17*F5))</f>
        <v>0.88235294117647012</v>
      </c>
      <c r="H5" s="13">
        <f>7/8*0.4*Hesap!$J$8*Hesap!$J$6*SQRT(Hesap!$J$3*Tablolar!G5)</f>
        <v>3.4905075713383846</v>
      </c>
      <c r="K5" s="14" t="s">
        <v>39</v>
      </c>
      <c r="L5" s="15">
        <v>18</v>
      </c>
    </row>
    <row r="6" spans="1:12" ht="18.75" customHeight="1">
      <c r="D6" s="20" t="s">
        <v>40</v>
      </c>
      <c r="F6" s="11">
        <v>13</v>
      </c>
      <c r="G6" s="12">
        <f>IF(Hesap!$J$3=0,0,$G$19-($G$19/17*F6))</f>
        <v>1.1764705882352939</v>
      </c>
      <c r="H6" s="13">
        <f>7/8*0.4*Hesap!$J$8*Hesap!$J$6*SQRT(Hesap!$J$3*Tablolar!G6)</f>
        <v>4.0304909718412869</v>
      </c>
      <c r="K6" s="14" t="s">
        <v>41</v>
      </c>
      <c r="L6" s="15">
        <v>20</v>
      </c>
    </row>
    <row r="7" spans="1:12" ht="18.75" customHeight="1">
      <c r="D7" s="20" t="s">
        <v>42</v>
      </c>
      <c r="F7" s="11">
        <v>12</v>
      </c>
      <c r="G7" s="12">
        <f>IF(Hesap!$J$3=0,0,$G$19-($G$19/17*F7))</f>
        <v>1.4705882352941178</v>
      </c>
      <c r="H7" s="13">
        <f>7/8*0.4*Hesap!$J$8*Hesap!$J$6*SQRT(Hesap!$J$3*Tablolar!G7)</f>
        <v>4.5062258978681546</v>
      </c>
      <c r="K7" s="14" t="s">
        <v>43</v>
      </c>
      <c r="L7" s="15">
        <v>19</v>
      </c>
    </row>
    <row r="8" spans="1:12" ht="18.75" customHeight="1">
      <c r="A8" s="10" t="s">
        <v>44</v>
      </c>
      <c r="D8" s="20" t="s">
        <v>45</v>
      </c>
      <c r="F8" s="11">
        <v>11</v>
      </c>
      <c r="G8" s="12">
        <f>IF(Hesap!$J$3=0,0,$G$19-($G$19/17*F8))</f>
        <v>1.7647058823529411</v>
      </c>
      <c r="H8" s="13">
        <f>7/8*0.4*Hesap!$J$8*Hesap!$J$6*SQRT(Hesap!$J$3*Tablolar!G8)</f>
        <v>4.9363231469527182</v>
      </c>
      <c r="K8" s="14" t="s">
        <v>46</v>
      </c>
      <c r="L8" s="15">
        <v>18</v>
      </c>
    </row>
    <row r="9" spans="1:12" ht="18.75" customHeight="1">
      <c r="A9" s="11" t="s">
        <v>47</v>
      </c>
      <c r="D9" s="20" t="s">
        <v>48</v>
      </c>
      <c r="F9" s="11">
        <v>10</v>
      </c>
      <c r="G9" s="12">
        <f>IF(Hesap!$J$3=0,0,$G$19-($G$19/17*F9))</f>
        <v>2.0588235294117645</v>
      </c>
      <c r="H9" s="13">
        <f>7/8*0.4*Hesap!$J$8*Hesap!$J$6*SQRT(Hesap!$J$3*Tablolar!G9)</f>
        <v>5.3318383864915404</v>
      </c>
      <c r="K9" s="14" t="s">
        <v>49</v>
      </c>
      <c r="L9" s="15">
        <v>21</v>
      </c>
    </row>
    <row r="10" spans="1:12" ht="18.75" customHeight="1">
      <c r="A10" s="11" t="s">
        <v>50</v>
      </c>
      <c r="D10" s="20" t="s">
        <v>51</v>
      </c>
      <c r="F10" s="11">
        <v>9</v>
      </c>
      <c r="G10" s="12">
        <f>IF(Hesap!$J$3=0,0,$G$19-($G$19/17*F10))</f>
        <v>2.3529411764705883</v>
      </c>
      <c r="H10" s="13">
        <f>7/8*0.4*Hesap!$J$8*Hesap!$J$6*SQRT(Hesap!$J$3*Tablolar!G10)</f>
        <v>5.6999749954002645</v>
      </c>
      <c r="K10" s="27" t="s">
        <v>52</v>
      </c>
      <c r="L10" s="27"/>
    </row>
    <row r="11" spans="1:12" ht="18.75" customHeight="1">
      <c r="D11" s="20" t="s">
        <v>53</v>
      </c>
      <c r="F11" s="11">
        <v>8</v>
      </c>
      <c r="G11" s="12">
        <f>IF(Hesap!$J$3=0,0,$G$19-($G$19/17*F11))</f>
        <v>2.6470588235294117</v>
      </c>
      <c r="H11" s="13">
        <f>7/8*0.4*Hesap!$J$8*Hesap!$J$6*SQRT(Hesap!$J$3*Tablolar!G11)</f>
        <v>6.0457364577619304</v>
      </c>
    </row>
    <row r="12" spans="1:12" ht="18.75" customHeight="1">
      <c r="D12" s="20" t="s">
        <v>54</v>
      </c>
      <c r="F12" s="11">
        <v>7</v>
      </c>
      <c r="G12" s="12">
        <f>IF(Hesap!$J$3=0,0,$G$19-($G$19/17*F12))</f>
        <v>2.9411764705882351</v>
      </c>
      <c r="H12" s="13">
        <f>7/8*0.4*Hesap!$J$8*Hesap!$J$6*SQRT(Hesap!$J$3*Tablolar!G12)</f>
        <v>6.3727657798820214</v>
      </c>
    </row>
    <row r="13" spans="1:12" ht="18.75" customHeight="1">
      <c r="D13" s="20" t="s">
        <v>55</v>
      </c>
      <c r="F13" s="11">
        <v>6</v>
      </c>
      <c r="G13" s="12">
        <f>IF(Hesap!$J$3=0,0,$G$19-($G$19/17*F13))</f>
        <v>3.2352941176470589</v>
      </c>
      <c r="H13" s="13">
        <f>7/8*0.4*Hesap!$J$8*Hesap!$J$6*SQRT(Hesap!$J$3*Tablolar!G13)</f>
        <v>6.6838131372562204</v>
      </c>
    </row>
    <row r="14" spans="1:12" ht="18.75" customHeight="1">
      <c r="D14" s="20" t="s">
        <v>56</v>
      </c>
      <c r="F14" s="11">
        <v>5</v>
      </c>
      <c r="G14" s="12">
        <f>IF(Hesap!$J$3=0,0,$G$19-($G$19/17*F14))</f>
        <v>3.5294117647058822</v>
      </c>
      <c r="H14" s="13">
        <f>7/8*0.4*Hesap!$J$8*Hesap!$J$6*SQRT(Hesap!$J$3*Tablolar!G14)</f>
        <v>6.981015142676771</v>
      </c>
    </row>
    <row r="15" spans="1:12" ht="18.75" customHeight="1">
      <c r="D15" s="20" t="s">
        <v>57</v>
      </c>
      <c r="F15" s="11">
        <v>4</v>
      </c>
      <c r="G15" s="12">
        <f>IF(Hesap!$J$3=0,0,$G$19-($G$19/17*F15))</f>
        <v>3.8235294117647056</v>
      </c>
      <c r="H15" s="13">
        <f>7/8*0.4*Hesap!$J$8*Hesap!$J$6*SQRT(Hesap!$J$3*Tablolar!G15)</f>
        <v>7.2660709321342241</v>
      </c>
    </row>
    <row r="16" spans="1:12" ht="18.75" customHeight="1">
      <c r="D16" s="20" t="s">
        <v>58</v>
      </c>
      <c r="F16" s="11">
        <v>3</v>
      </c>
      <c r="G16" s="12">
        <f>IF(Hesap!$J$3=0,0,$G$19-($G$19/17*F16))</f>
        <v>4.117647058823529</v>
      </c>
      <c r="H16" s="13">
        <f>7/8*0.4*Hesap!$J$8*Hesap!$J$6*SQRT(Hesap!$J$3*Tablolar!G16)</f>
        <v>7.540358158557817</v>
      </c>
    </row>
    <row r="17" spans="4:8" ht="18.75" customHeight="1">
      <c r="D17" s="20" t="s">
        <v>59</v>
      </c>
      <c r="F17" s="11">
        <v>2</v>
      </c>
      <c r="G17" s="12">
        <f>IF(Hesap!$J$3=0,0,$G$19-($G$19/17*F17))</f>
        <v>4.4117647058823533</v>
      </c>
      <c r="H17" s="13">
        <f>7/8*0.4*Hesap!$J$8*Hesap!$J$6*SQRT(Hesap!$J$3*Tablolar!G17)</f>
        <v>7.8050122054903266</v>
      </c>
    </row>
    <row r="18" spans="4:8" ht="18.75" customHeight="1">
      <c r="D18" s="20" t="s">
        <v>60</v>
      </c>
      <c r="F18" s="11">
        <v>1</v>
      </c>
      <c r="G18" s="12">
        <f>IF(Hesap!$J$3=0,0,$G$19-($G$19/17*F18))</f>
        <v>4.7058823529411766</v>
      </c>
      <c r="H18" s="13">
        <f>7/8*0.4*Hesap!$J$8*Hesap!$J$6*SQRT(Hesap!$J$3*Tablolar!G18)</f>
        <v>8.0609819436825756</v>
      </c>
    </row>
    <row r="19" spans="4:8" ht="18.75" customHeight="1">
      <c r="D19" s="20" t="s">
        <v>61</v>
      </c>
      <c r="F19" s="11">
        <v>0</v>
      </c>
      <c r="G19" s="12">
        <f>Hesap!$J$3</f>
        <v>5</v>
      </c>
      <c r="H19" s="13">
        <f>7/8*0.4*Hesap!$J$8*Hesap!$J$6*SQRT(Hesap!$J$3*Tablolar!G19)</f>
        <v>8.309070000000002</v>
      </c>
    </row>
  </sheetData>
  <sheetProtection algorithmName="SHA-512" hashValue="/GyQlkrIrCXu8ePtsLtNYeMH8mqPFkGlCvcvlpDa9UieHFOYhu3sxtmmJwCieWzxhRk8689ezMwOeu1tU5Vg/w==" saltValue="Lq+NZeADVOuA914nmC8T+Q==" spinCount="100000" sheet="1" objects="1" scenarios="1"/>
  <mergeCells count="3">
    <mergeCell ref="K2:K3"/>
    <mergeCell ref="L2:L3"/>
    <mergeCell ref="K10:L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Taha</dc:creator>
  <cp:keywords/>
  <dc:description/>
  <cp:lastModifiedBy>Taha Elçi</cp:lastModifiedBy>
  <cp:revision/>
  <dcterms:created xsi:type="dcterms:W3CDTF">2023-01-31T17:42:55Z</dcterms:created>
  <dcterms:modified xsi:type="dcterms:W3CDTF">2024-05-21T13:02:20Z</dcterms:modified>
  <cp:category/>
  <cp:contentStatus/>
</cp:coreProperties>
</file>